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0" i="1"/>
  <c r="C74"/>
  <c r="E95"/>
  <c r="E96"/>
  <c r="C117"/>
  <c r="C118" s="1"/>
  <c r="C85"/>
  <c r="C6"/>
  <c r="E11" s="1"/>
  <c r="E39"/>
  <c r="C120"/>
  <c r="C121" s="1"/>
  <c r="E93"/>
  <c r="C90"/>
  <c r="E91" s="1"/>
  <c r="C89"/>
  <c r="C86"/>
  <c r="E38"/>
  <c r="E31"/>
  <c r="E27"/>
  <c r="E23"/>
  <c r="E15"/>
  <c r="C7"/>
  <c r="C8" s="1"/>
  <c r="E109"/>
  <c r="E106"/>
  <c r="E103"/>
  <c r="G59"/>
  <c r="E55"/>
  <c r="E54"/>
  <c r="E53"/>
  <c r="E52"/>
  <c r="E48"/>
  <c r="E45"/>
  <c r="E35"/>
  <c r="E122" l="1"/>
  <c r="G40"/>
  <c r="G17"/>
  <c r="E87"/>
  <c r="G110"/>
  <c r="G49"/>
  <c r="G56"/>
  <c r="G32"/>
  <c r="G98" l="1"/>
  <c r="G62"/>
  <c r="H71" l="1"/>
  <c r="E70"/>
  <c r="H70"/>
  <c r="E71"/>
  <c r="E72"/>
  <c r="H72"/>
  <c r="E73"/>
  <c r="H76"/>
  <c r="H73"/>
  <c r="E76"/>
  <c r="H74" l="1"/>
  <c r="E74"/>
  <c r="G78" s="1"/>
  <c r="G112" s="1"/>
  <c r="E124" l="1"/>
  <c r="G125" s="1"/>
</calcChain>
</file>

<file path=xl/sharedStrings.xml><?xml version="1.0" encoding="utf-8"?>
<sst xmlns="http://schemas.openxmlformats.org/spreadsheetml/2006/main" count="217" uniqueCount="120">
  <si>
    <t>m2</t>
  </si>
  <si>
    <t>m3</t>
  </si>
  <si>
    <t>milljarðar kr</t>
  </si>
  <si>
    <t>stk</t>
  </si>
  <si>
    <t>Byggingarverð stórrar stöðvar</t>
  </si>
  <si>
    <t>Byggingarverð miðlungi stórrar stöðvar</t>
  </si>
  <si>
    <t>Byggingarverð lítillar stöðvar</t>
  </si>
  <si>
    <t>Verð pr. lengdarmetra þráðlauss rafhleðslubúnaðar</t>
  </si>
  <si>
    <t>milljónir kr</t>
  </si>
  <si>
    <t>Heildarverð þráðlauss rafhleðslubúnaðar</t>
  </si>
  <si>
    <t>Heildarverð fjarskiptabúnaðar í göngum, stokkum og stöðvum</t>
  </si>
  <si>
    <t>Heildarverð fjarskipta- og rafhleðslubúnaðar í göngum, stökkum og stöðvum</t>
  </si>
  <si>
    <t>Fjöldi 6 sæta vagna - 6 farþega</t>
  </si>
  <si>
    <t>Verð 6 farþega vagns</t>
  </si>
  <si>
    <t>Alls heildarverð vagna</t>
  </si>
  <si>
    <t>Byggingarverð fullbúinnar stjórnstöðvar - án fjarskiptabúnaðar</t>
  </si>
  <si>
    <t>Byggingarverð fullbúinna höfuðstöðva</t>
  </si>
  <si>
    <t>Verð fjarskiptabúnaðar stjórnstöðvar</t>
  </si>
  <si>
    <t>Fjármagnskostnaður á framkvæmdatíma</t>
  </si>
  <si>
    <t>% pr. ár</t>
  </si>
  <si>
    <t>kw-stundir</t>
  </si>
  <si>
    <t>Rafmagnsverð</t>
  </si>
  <si>
    <t>kr pr. kw-stund</t>
  </si>
  <si>
    <t>krónur</t>
  </si>
  <si>
    <t>Heildarbyggingarverð stórra stöðva</t>
  </si>
  <si>
    <t>Heildarbyggingarverð miðlungi stórra stöðva</t>
  </si>
  <si>
    <t>Heildarbyggingarverð lítilla stöðva</t>
  </si>
  <si>
    <t>Höfuðstöðvar - kostnaður pr. mann</t>
  </si>
  <si>
    <t>manns</t>
  </si>
  <si>
    <t>Höfuðstöðvar - fjöldi starfsmanna</t>
  </si>
  <si>
    <t>Stjórnstöð - kostnaður pr. mann</t>
  </si>
  <si>
    <t>Stjórnstöð - sólarhringsvaktir að hluta - fjöldi starfsmanna</t>
  </si>
  <si>
    <t>Afskriftir og vextir af stofnkostnaði:</t>
  </si>
  <si>
    <t>Verð vagna með öllum búnaði, þ.m.t. rafgeymum, ratsjám og fjarskiptabúnaði:</t>
  </si>
  <si>
    <t>REKSTRARKOSTNAÐUR Á ÁRI:</t>
  </si>
  <si>
    <t>ALLS REKSTRARKOSTNAÐUR Á ÁRI</t>
  </si>
  <si>
    <t>REKSTRARTEKJUR Á ÁRI:</t>
  </si>
  <si>
    <t>milljónir ferða</t>
  </si>
  <si>
    <t>MILLJÓNIR FERÐA</t>
  </si>
  <si>
    <t>ALLS REKSTRARTEKJUR Á ÁRI</t>
  </si>
  <si>
    <t>Verð fjarskipta- og rafhleðslubúnaðar í göngum, stokkum og stöðvum:</t>
  </si>
  <si>
    <t>Þráðlaus rafhleðslubúnaður lagður í miðju akreina og í stæði vagna</t>
  </si>
  <si>
    <t>km</t>
  </si>
  <si>
    <t>kr pr. metra</t>
  </si>
  <si>
    <t>kr pr m3</t>
  </si>
  <si>
    <t xml:space="preserve">ALLS STOFNKOSTNAÐUR </t>
  </si>
  <si>
    <t>Jarðefni seld til annarra framkvæmda</t>
  </si>
  <si>
    <t>Annað</t>
  </si>
  <si>
    <t>Alls heildarverð 6 farþega vagna</t>
  </si>
  <si>
    <t>Höfuðstöðvar - rekstrarkostnaður utan afskrifta og vaxta</t>
  </si>
  <si>
    <t>Stjórnstöð - rekstrarkostnaður utan afskrifta og vaxta</t>
  </si>
  <si>
    <t>Heildarbyggingarverð fullbúinna ganga og stokka, með tilbúnum akbrautum og lagnaleiðum - en án fjarskipta- og rafhleðslubúnaðar</t>
  </si>
  <si>
    <t>Byggingarverð fullbúinna ganga og stokka, með tilbúnum akbrautum og lagnaleiðum - en án fjarskipta- og rafhleðslubúnaðar:</t>
  </si>
  <si>
    <t>(afskriftir af</t>
  </si>
  <si>
    <t>HBSV Heildarlengd</t>
  </si>
  <si>
    <t>HBSV Alls rúmmál ganga / stokka (sprengt, grafið)</t>
  </si>
  <si>
    <t>HBSV Alls innra rúmmál ganga / stokka (loftrúm innan klæðningar)</t>
  </si>
  <si>
    <t>STOFNKOSTNAÐUR - HBSV höfuðborgarsvæði og SNBR Suðurnesjabraut:</t>
  </si>
  <si>
    <t>HBSN Fjöldi stórra stöðva</t>
  </si>
  <si>
    <t>SNBR Fjöldi stórra stöðva</t>
  </si>
  <si>
    <t>HBSV Fjöldi miðlungi stórra stöðva</t>
  </si>
  <si>
    <t>SNBR Fjöldi miðlungi stórra stöðva</t>
  </si>
  <si>
    <t>HBSV Fjöldi lítilla stöðva</t>
  </si>
  <si>
    <t>SNBR Fjöldi lítilla stöðva</t>
  </si>
  <si>
    <t>HBSV Meðalfargjald á höfuðborgarsvæði - án hlutdeildar SNBR</t>
  </si>
  <si>
    <t>HBSV Fjöldi ferða á ári á höfuðborgarsvæði - án hlutdeildar SNBR</t>
  </si>
  <si>
    <t>SNBR Fjöldi ferða á ári um Suðurnes - með hlutdeild í HBSV</t>
  </si>
  <si>
    <t>SNBR Meðalfargjald um Suðurnes - með hlutdeild í HBSV</t>
  </si>
  <si>
    <t>HBSV Rafmagnskostnaður fyrir HBSV - án hlutdeildar SNBR</t>
  </si>
  <si>
    <t>SNBR Rafmagnskostnaður fyrir SNBR - með hlutdeild í HBSV</t>
  </si>
  <si>
    <t>HBSV og SNBR Heildarfargjaldatekjur á ári</t>
  </si>
  <si>
    <t>SNBR Heildarlengd - frá Straumsvík um Suðurnes</t>
  </si>
  <si>
    <t>HBSV Heildarbyggingarverð</t>
  </si>
  <si>
    <t>HBSV Rafmagnseyðsla fyrir hvern farþega innan HBSV</t>
  </si>
  <si>
    <t>HBSV Rafmagnskostnaður fyrir hvern farþega innan HBSV</t>
  </si>
  <si>
    <t>SNBR Rafmagnseyðsla fyrir hvern farþega SNBR - með hlutdeild í HBSV</t>
  </si>
  <si>
    <t>SNBR Rafmagnskostnaður fyrir hvern farþega - með hlutdeild í HBSV</t>
  </si>
  <si>
    <t>Alls laun og launatengd gjöld ásamt rekstrarkostnaði starfa - hita, rafmagni, starfsbúnaði - án áður reiknaðra afskrifta og vaxta af húsnæði o.fl.:</t>
  </si>
  <si>
    <t>Laun og launatengd gjöld ásamt rekstrarkostnaði starfa - hita, rafmagni, starfsbúnaði - án áður reiknaðra afskrifta og vaxta af húsnæði o.fl.:</t>
  </si>
  <si>
    <t>milljónir kr pr. km</t>
  </si>
  <si>
    <t>Fjöldi 12-15 sæta vagna með 8-10 stæðum - 20-25 farþega</t>
  </si>
  <si>
    <t>Verð 20-25 farþega vagns</t>
  </si>
  <si>
    <t>Rekstrarstöðvar - vaktir að hluta - fjöldi starfsmanna</t>
  </si>
  <si>
    <t>Rekstrarstöðvar - vaktir að hluta - kostnaður pr. mann</t>
  </si>
  <si>
    <t>Rekstrarstöðvar - heildarkostnaður  án afskrifta og vaxta</t>
  </si>
  <si>
    <t>Verð höfuðstöðva, stjórnstöðvar og rekstrarstöðva:</t>
  </si>
  <si>
    <t>Byggingarverð rekstrarstöðva með öllum búnaði</t>
  </si>
  <si>
    <t>Alls heildarverð höfuðstöðva, stjórnstöðvar og rekstrarstöðva</t>
  </si>
  <si>
    <t>milljörðum kr)</t>
  </si>
  <si>
    <t>(alls afskriftir af</t>
  </si>
  <si>
    <t>(alls vextir af</t>
  </si>
  <si>
    <t>HBSV Þverskurðarflatarmál (brúttó holrými - sprengt, grafið)</t>
  </si>
  <si>
    <t>milljarður</t>
  </si>
  <si>
    <t>Byggingarverð fullbúinna stöðva með rúllustigum, lyftum og sjálfvirkum hurðum:</t>
  </si>
  <si>
    <t>Heildarbyggingarverð fullbúinna stöðva</t>
  </si>
  <si>
    <t>Meðalvextir af stofnkostnaði ( = ígildi vaxta af lánum eða ígildi arðs)</t>
  </si>
  <si>
    <t>SNBR Heildarbyggingarverð</t>
  </si>
  <si>
    <t xml:space="preserve">Framlag hins opinbera - sveitarfélaga og ríkis </t>
  </si>
  <si>
    <t>Afskriftir 10% stofnkostnaðar (ökutæki o.fl.)</t>
  </si>
  <si>
    <t>Afskriftir 10% stofnkostnaðar (fjarskipta- og rafhleðslubúnaður o.fl.)</t>
  </si>
  <si>
    <t>HBSV Þverskurður fóðraðra fullbúinna ganga (ca. 80% af brúttó m2)</t>
  </si>
  <si>
    <t>Alls afskriftir og vextir af stofnkostnaði:</t>
  </si>
  <si>
    <t>HBSV Verð jafnað á rúmmetra (brúttó - sprengt, grafið)</t>
  </si>
  <si>
    <t>Rafmagn, hjólbarðar, skammtímaviðhald:</t>
  </si>
  <si>
    <t>Alls rafmagn, hjólbarðar, skammtímaviðhald:</t>
  </si>
  <si>
    <t>Ýmislegt skammtímaviðhald á göngum, fjarskiptabúnaði, vögnum o.fl.</t>
  </si>
  <si>
    <t>SNBR Verð jafnað á kílómetra (göng, akbrautir, yfirbyggingar)</t>
  </si>
  <si>
    <t>HBSV og SNBR Rafmagnskostnaður vegna lýsingar, vatnsdælingar, loftræstingar o.fl.</t>
  </si>
  <si>
    <t>Vatnsdælustöðvar, varaflsrafstöðvar o.fl.</t>
  </si>
  <si>
    <t>Afskriftir 40% stofnkostnaðar (grunngerð ganga og brautarstöðva)</t>
  </si>
  <si>
    <t>%</t>
  </si>
  <si>
    <t>Vegnar afskriftir ( = ígildi afborgana af lánum eða ígildi viðhalds)</t>
  </si>
  <si>
    <t>Afskriftir 40% stofnkostnaðar (önnur helstu mannvirki og umbúnaður)</t>
  </si>
  <si>
    <t>% pr. Ár</t>
  </si>
  <si>
    <t>Alls heildarverð 20-25 farþega vagna</t>
  </si>
  <si>
    <t>1700 dekkjaumgangar á ári o.þ.h.</t>
  </si>
  <si>
    <t>JARÐBRAUTANET - Dálkur B er opinn og hægt að breyta þar forsendum.  Aðrir dálkar eru læstir.</t>
  </si>
  <si>
    <t>HBSV Heildarfargjaldatekjur á ári</t>
  </si>
  <si>
    <t>SNBR Heildarfargjaldatekjur á ári</t>
  </si>
  <si>
    <t>Sjá nánar: http://www.brautir.net/kostnadur</t>
  </si>
</sst>
</file>

<file path=xl/styles.xml><?xml version="1.0" encoding="utf-8"?>
<styleSheet xmlns="http://schemas.openxmlformats.org/spreadsheetml/2006/main">
  <numFmts count="2">
    <numFmt numFmtId="164" formatCode="#,##0\ _k_r_."/>
    <numFmt numFmtId="165" formatCode="#,##0.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5" fontId="1" fillId="0" borderId="1" xfId="0" applyNumberFormat="1" applyFont="1" applyBorder="1"/>
    <xf numFmtId="0" fontId="1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wrapText="1"/>
    </xf>
    <xf numFmtId="164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/>
    <xf numFmtId="165" fontId="2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/>
    <xf numFmtId="164" fontId="2" fillId="6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left"/>
    </xf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5" fontId="2" fillId="6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/>
    <xf numFmtId="165" fontId="1" fillId="3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 applyAlignment="1">
      <alignment horizontal="right"/>
    </xf>
    <xf numFmtId="164" fontId="2" fillId="4" borderId="1" xfId="0" applyNumberFormat="1" applyFont="1" applyFill="1" applyBorder="1"/>
    <xf numFmtId="165" fontId="2" fillId="4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164" fontId="1" fillId="6" borderId="1" xfId="0" applyNumberFormat="1" applyFont="1" applyFill="1" applyBorder="1"/>
    <xf numFmtId="164" fontId="4" fillId="3" borderId="1" xfId="0" applyNumberFormat="1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6" borderId="1" xfId="0" applyNumberFormat="1" applyFon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164" fontId="2" fillId="4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/>
    <xf numFmtId="165" fontId="1" fillId="0" borderId="1" xfId="0" applyNumberFormat="1" applyFont="1" applyFill="1" applyBorder="1"/>
    <xf numFmtId="165" fontId="1" fillId="0" borderId="1" xfId="0" applyNumberFormat="1" applyFont="1" applyBorder="1" applyAlignment="1" applyProtection="1">
      <alignment horizontal="right"/>
    </xf>
    <xf numFmtId="164" fontId="3" fillId="0" borderId="1" xfId="0" applyNumberFormat="1" applyFont="1" applyBorder="1" applyProtection="1"/>
    <xf numFmtId="165" fontId="3" fillId="0" borderId="1" xfId="0" applyNumberFormat="1" applyFont="1" applyBorder="1" applyAlignment="1" applyProtection="1">
      <alignment horizontal="right"/>
    </xf>
    <xf numFmtId="164" fontId="1" fillId="0" borderId="1" xfId="0" applyNumberFormat="1" applyFont="1" applyBorder="1" applyAlignment="1" applyProtection="1">
      <alignment horizontal="right"/>
    </xf>
    <xf numFmtId="165" fontId="2" fillId="5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Protection="1">
      <protection locked="0"/>
    </xf>
    <xf numFmtId="164" fontId="7" fillId="0" borderId="1" xfId="1" applyNumberFormat="1" applyBorder="1" applyAlignment="1" applyProtection="1">
      <alignment wrapText="1"/>
    </xf>
    <xf numFmtId="164" fontId="2" fillId="0" borderId="1" xfId="0" applyNumberFormat="1" applyFont="1" applyFill="1" applyBorder="1" applyAlignment="1">
      <alignment horizontal="left"/>
    </xf>
    <xf numFmtId="165" fontId="1" fillId="6" borderId="1" xfId="0" applyNumberFormat="1" applyFont="1" applyFill="1" applyBorder="1" applyAlignment="1">
      <alignment horizontal="right" indent="1"/>
    </xf>
    <xf numFmtId="165" fontId="8" fillId="5" borderId="1" xfId="0" applyNumberFormat="1" applyFont="1" applyFill="1" applyBorder="1" applyAlignment="1" applyProtection="1">
      <alignment horizontal="right"/>
    </xf>
    <xf numFmtId="164" fontId="8" fillId="5" borderId="1" xfId="0" applyNumberFormat="1" applyFont="1" applyFill="1" applyBorder="1"/>
    <xf numFmtId="165" fontId="8" fillId="5" borderId="1" xfId="0" applyNumberFormat="1" applyFont="1" applyFill="1" applyBorder="1" applyAlignment="1">
      <alignment horizontal="right"/>
    </xf>
    <xf numFmtId="164" fontId="2" fillId="8" borderId="1" xfId="0" applyNumberFormat="1" applyFont="1" applyFill="1" applyBorder="1" applyProtection="1">
      <protection locked="0"/>
    </xf>
    <xf numFmtId="165" fontId="9" fillId="7" borderId="1" xfId="0" applyNumberFormat="1" applyFont="1" applyFill="1" applyBorder="1" applyAlignment="1">
      <alignment horizontal="right" indent="1"/>
    </xf>
    <xf numFmtId="164" fontId="9" fillId="5" borderId="1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autir.net/kostnad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5"/>
  <sheetViews>
    <sheetView tabSelected="1" zoomScaleNormal="100" workbookViewId="0"/>
  </sheetViews>
  <sheetFormatPr defaultRowHeight="12.75"/>
  <cols>
    <col min="1" max="1" width="57.28515625" style="8" bestFit="1" customWidth="1"/>
    <col min="2" max="2" width="10.85546875" style="14" customWidth="1"/>
    <col min="3" max="3" width="13.140625" style="49" customWidth="1"/>
    <col min="4" max="4" width="3.140625" style="3" customWidth="1"/>
    <col min="5" max="5" width="11" style="4" customWidth="1"/>
    <col min="6" max="6" width="11.140625" style="3" customWidth="1"/>
    <col min="7" max="7" width="13.5703125" style="4" customWidth="1"/>
    <col min="8" max="8" width="5.28515625" style="3" customWidth="1"/>
    <col min="9" max="9" width="13.140625" style="3" customWidth="1"/>
    <col min="10" max="16384" width="9.140625" style="3"/>
  </cols>
  <sheetData>
    <row r="1" spans="1:7" ht="16.5" customHeight="1">
      <c r="A1" s="67" t="s">
        <v>119</v>
      </c>
      <c r="B1" s="68" t="s">
        <v>116</v>
      </c>
    </row>
    <row r="2" spans="1:7" s="33" customFormat="1" ht="15" customHeight="1">
      <c r="A2" s="1" t="s">
        <v>57</v>
      </c>
      <c r="B2" s="32"/>
      <c r="C2" s="50"/>
      <c r="E2" s="34"/>
      <c r="G2" s="34"/>
    </row>
    <row r="3" spans="1:7" s="6" customFormat="1" ht="27.75" customHeight="1">
      <c r="A3" s="5" t="s">
        <v>52</v>
      </c>
      <c r="B3" s="18"/>
      <c r="C3" s="51"/>
      <c r="E3" s="7"/>
      <c r="G3" s="7"/>
    </row>
    <row r="4" spans="1:7">
      <c r="A4" s="8" t="s">
        <v>54</v>
      </c>
      <c r="B4" s="32">
        <v>130</v>
      </c>
      <c r="C4" s="49" t="s">
        <v>42</v>
      </c>
    </row>
    <row r="5" spans="1:7">
      <c r="A5" s="8" t="s">
        <v>91</v>
      </c>
      <c r="B5" s="32">
        <v>26</v>
      </c>
      <c r="C5" s="49" t="s">
        <v>0</v>
      </c>
    </row>
    <row r="6" spans="1:7">
      <c r="A6" s="8" t="s">
        <v>55</v>
      </c>
      <c r="B6" s="32"/>
      <c r="C6" s="61">
        <f>PRODUCT(B4:B5)*1000</f>
        <v>3380000</v>
      </c>
      <c r="D6" s="3" t="s">
        <v>1</v>
      </c>
    </row>
    <row r="7" spans="1:7" s="40" customFormat="1" ht="12.75" customHeight="1">
      <c r="A7" s="39" t="s">
        <v>100</v>
      </c>
      <c r="B7" s="42"/>
      <c r="C7" s="62">
        <f>B5*0.8</f>
        <v>20.8</v>
      </c>
      <c r="D7" s="40" t="s">
        <v>0</v>
      </c>
      <c r="E7" s="41"/>
      <c r="G7" s="41"/>
    </row>
    <row r="8" spans="1:7" s="40" customFormat="1">
      <c r="A8" s="39" t="s">
        <v>56</v>
      </c>
      <c r="B8" s="42"/>
      <c r="C8" s="63">
        <f>B4*C7*1000</f>
        <v>2704000</v>
      </c>
      <c r="D8" s="40" t="s">
        <v>1</v>
      </c>
      <c r="E8" s="41"/>
      <c r="G8" s="41"/>
    </row>
    <row r="9" spans="1:7">
      <c r="B9" s="32"/>
    </row>
    <row r="10" spans="1:7">
      <c r="A10" s="8" t="s">
        <v>102</v>
      </c>
      <c r="B10" s="32">
        <v>50000</v>
      </c>
      <c r="C10" s="49" t="s">
        <v>44</v>
      </c>
      <c r="E10" s="9"/>
      <c r="F10" s="10"/>
    </row>
    <row r="11" spans="1:7">
      <c r="A11" s="8" t="s">
        <v>72</v>
      </c>
      <c r="B11" s="32"/>
      <c r="E11" s="9">
        <f>C6*B10/1000000000</f>
        <v>169</v>
      </c>
      <c r="F11" s="10" t="s">
        <v>2</v>
      </c>
    </row>
    <row r="12" spans="1:7">
      <c r="B12" s="32"/>
      <c r="E12" s="9"/>
      <c r="F12" s="10"/>
    </row>
    <row r="13" spans="1:7">
      <c r="A13" s="8" t="s">
        <v>71</v>
      </c>
      <c r="B13" s="32">
        <v>50</v>
      </c>
      <c r="C13" s="49" t="s">
        <v>42</v>
      </c>
      <c r="E13" s="9"/>
      <c r="F13" s="10"/>
    </row>
    <row r="14" spans="1:7">
      <c r="A14" s="8" t="s">
        <v>106</v>
      </c>
      <c r="B14" s="32">
        <v>1000</v>
      </c>
      <c r="C14" s="49" t="s">
        <v>79</v>
      </c>
      <c r="E14" s="9"/>
      <c r="F14" s="10"/>
    </row>
    <row r="15" spans="1:7">
      <c r="A15" s="8" t="s">
        <v>96</v>
      </c>
      <c r="B15" s="32"/>
      <c r="E15" s="9">
        <f>B13*B14/1000</f>
        <v>50</v>
      </c>
      <c r="F15" s="10" t="s">
        <v>2</v>
      </c>
    </row>
    <row r="16" spans="1:7">
      <c r="B16" s="32"/>
      <c r="E16" s="9"/>
      <c r="F16" s="10"/>
    </row>
    <row r="17" spans="1:9" s="6" customFormat="1" ht="25.5">
      <c r="A17" s="5" t="s">
        <v>51</v>
      </c>
      <c r="B17" s="18"/>
      <c r="C17" s="51"/>
      <c r="E17" s="7"/>
      <c r="G17" s="7">
        <f>E11+E15</f>
        <v>219</v>
      </c>
      <c r="H17" s="6" t="s">
        <v>2</v>
      </c>
    </row>
    <row r="18" spans="1:9">
      <c r="B18" s="32"/>
    </row>
    <row r="19" spans="1:9" s="6" customFormat="1" ht="27.75" customHeight="1">
      <c r="A19" s="5" t="s">
        <v>93</v>
      </c>
      <c r="B19" s="18"/>
      <c r="C19" s="51"/>
      <c r="E19" s="7"/>
      <c r="G19" s="7"/>
    </row>
    <row r="20" spans="1:9" ht="12.75" customHeight="1">
      <c r="A20" s="8" t="s">
        <v>58</v>
      </c>
      <c r="B20" s="32">
        <v>6</v>
      </c>
      <c r="C20" s="49" t="s">
        <v>3</v>
      </c>
    </row>
    <row r="21" spans="1:9" ht="12.75" customHeight="1">
      <c r="A21" s="8" t="s">
        <v>59</v>
      </c>
      <c r="B21" s="32">
        <v>1</v>
      </c>
      <c r="C21" s="49" t="s">
        <v>3</v>
      </c>
    </row>
    <row r="22" spans="1:9" ht="12.75" customHeight="1">
      <c r="A22" s="8" t="s">
        <v>4</v>
      </c>
      <c r="B22" s="32">
        <v>1000</v>
      </c>
      <c r="C22" s="49" t="s">
        <v>8</v>
      </c>
    </row>
    <row r="23" spans="1:9" ht="12.75" customHeight="1">
      <c r="A23" s="8" t="s">
        <v>24</v>
      </c>
      <c r="B23" s="32"/>
      <c r="E23" s="4">
        <f>(B20+B21)*B22/1000</f>
        <v>7</v>
      </c>
      <c r="F23" s="3" t="s">
        <v>2</v>
      </c>
      <c r="I23" s="49"/>
    </row>
    <row r="24" spans="1:9" ht="12.75" customHeight="1">
      <c r="A24" s="8" t="s">
        <v>60</v>
      </c>
      <c r="B24" s="32">
        <v>20</v>
      </c>
      <c r="C24" s="49" t="s">
        <v>3</v>
      </c>
    </row>
    <row r="25" spans="1:9" ht="12.75" customHeight="1">
      <c r="A25" s="8" t="s">
        <v>61</v>
      </c>
      <c r="B25" s="32">
        <v>1</v>
      </c>
      <c r="C25" s="49" t="s">
        <v>3</v>
      </c>
    </row>
    <row r="26" spans="1:9" ht="12.75" customHeight="1">
      <c r="A26" s="8" t="s">
        <v>5</v>
      </c>
      <c r="B26" s="32">
        <v>500</v>
      </c>
      <c r="C26" s="49" t="s">
        <v>8</v>
      </c>
    </row>
    <row r="27" spans="1:9" ht="12.75" customHeight="1">
      <c r="A27" s="8" t="s">
        <v>25</v>
      </c>
      <c r="B27" s="32"/>
      <c r="E27" s="4">
        <f>(B24+B25)*B26/1000</f>
        <v>10.5</v>
      </c>
      <c r="F27" s="3" t="s">
        <v>2</v>
      </c>
    </row>
    <row r="28" spans="1:9" ht="12.75" customHeight="1">
      <c r="A28" s="8" t="s">
        <v>62</v>
      </c>
      <c r="B28" s="32">
        <v>166</v>
      </c>
      <c r="C28" s="49" t="s">
        <v>3</v>
      </c>
    </row>
    <row r="29" spans="1:9" ht="12.75" customHeight="1">
      <c r="A29" s="8" t="s">
        <v>63</v>
      </c>
      <c r="B29" s="32">
        <v>10</v>
      </c>
      <c r="C29" s="49" t="s">
        <v>3</v>
      </c>
    </row>
    <row r="30" spans="1:9" ht="12.75" customHeight="1">
      <c r="A30" s="8" t="s">
        <v>6</v>
      </c>
      <c r="B30" s="32">
        <v>300</v>
      </c>
      <c r="C30" s="49" t="s">
        <v>8</v>
      </c>
    </row>
    <row r="31" spans="1:9" ht="12.75" customHeight="1">
      <c r="A31" s="8" t="s">
        <v>26</v>
      </c>
      <c r="B31" s="32"/>
      <c r="E31" s="4">
        <f>(B28+B29)*B30/1000</f>
        <v>52.8</v>
      </c>
      <c r="F31" s="3" t="s">
        <v>2</v>
      </c>
    </row>
    <row r="32" spans="1:9" s="6" customFormat="1">
      <c r="A32" s="5" t="s">
        <v>94</v>
      </c>
      <c r="B32" s="18"/>
      <c r="C32" s="51"/>
      <c r="E32" s="7"/>
      <c r="G32" s="7">
        <f>SUM(E23:E31)</f>
        <v>70.3</v>
      </c>
      <c r="H32" s="6" t="s">
        <v>2</v>
      </c>
    </row>
    <row r="33" spans="1:8">
      <c r="B33" s="32"/>
    </row>
    <row r="34" spans="1:8" s="6" customFormat="1">
      <c r="A34" s="5" t="s">
        <v>40</v>
      </c>
      <c r="B34" s="18"/>
      <c r="C34" s="51"/>
      <c r="E34" s="7"/>
      <c r="G34" s="7"/>
    </row>
    <row r="35" spans="1:8" s="15" customFormat="1" ht="18" customHeight="1">
      <c r="A35" s="13" t="s">
        <v>10</v>
      </c>
      <c r="B35" s="32">
        <v>20</v>
      </c>
      <c r="C35" s="52" t="s">
        <v>2</v>
      </c>
      <c r="E35" s="16">
        <f>B35</f>
        <v>20</v>
      </c>
      <c r="F35" s="15" t="s">
        <v>2</v>
      </c>
      <c r="G35" s="16"/>
    </row>
    <row r="36" spans="1:8">
      <c r="A36" s="8" t="s">
        <v>41</v>
      </c>
      <c r="B36" s="32">
        <v>30</v>
      </c>
      <c r="C36" s="49" t="s">
        <v>42</v>
      </c>
    </row>
    <row r="37" spans="1:8">
      <c r="A37" s="8" t="s">
        <v>7</v>
      </c>
      <c r="B37" s="32">
        <v>200000</v>
      </c>
      <c r="C37" s="49" t="s">
        <v>43</v>
      </c>
    </row>
    <row r="38" spans="1:8">
      <c r="A38" s="8" t="s">
        <v>9</v>
      </c>
      <c r="B38" s="32"/>
      <c r="E38" s="4">
        <f>PRODUCT(B36:B37)/1000000</f>
        <v>6</v>
      </c>
      <c r="F38" s="3" t="s">
        <v>2</v>
      </c>
    </row>
    <row r="39" spans="1:8">
      <c r="A39" s="8" t="s">
        <v>108</v>
      </c>
      <c r="B39" s="32">
        <v>1000</v>
      </c>
      <c r="C39" s="49" t="s">
        <v>8</v>
      </c>
      <c r="E39" s="4">
        <f>B39/1000</f>
        <v>1</v>
      </c>
      <c r="F39" s="3" t="s">
        <v>92</v>
      </c>
    </row>
    <row r="40" spans="1:8" s="6" customFormat="1" ht="24" customHeight="1">
      <c r="A40" s="5" t="s">
        <v>11</v>
      </c>
      <c r="B40" s="18"/>
      <c r="C40" s="51"/>
      <c r="E40" s="7"/>
      <c r="G40" s="7">
        <f>SUM(E35:E38:E39)</f>
        <v>27</v>
      </c>
      <c r="H40" s="6" t="s">
        <v>2</v>
      </c>
    </row>
    <row r="41" spans="1:8">
      <c r="A41" s="13"/>
      <c r="B41" s="32"/>
    </row>
    <row r="42" spans="1:8" s="6" customFormat="1" ht="25.5">
      <c r="A42" s="5" t="s">
        <v>33</v>
      </c>
      <c r="B42" s="18"/>
      <c r="C42" s="51"/>
      <c r="E42" s="7"/>
      <c r="G42" s="7"/>
    </row>
    <row r="43" spans="1:8">
      <c r="A43" s="8" t="s">
        <v>12</v>
      </c>
      <c r="B43" s="32">
        <v>1200</v>
      </c>
      <c r="C43" s="49" t="s">
        <v>3</v>
      </c>
    </row>
    <row r="44" spans="1:8">
      <c r="A44" s="8" t="s">
        <v>13</v>
      </c>
      <c r="B44" s="32">
        <v>10</v>
      </c>
      <c r="C44" s="49" t="s">
        <v>8</v>
      </c>
    </row>
    <row r="45" spans="1:8">
      <c r="A45" s="8" t="s">
        <v>48</v>
      </c>
      <c r="B45" s="32"/>
      <c r="E45" s="4">
        <f>PRODUCT(B43:B44)/1000</f>
        <v>12</v>
      </c>
      <c r="F45" s="3" t="s">
        <v>2</v>
      </c>
    </row>
    <row r="46" spans="1:8">
      <c r="A46" s="8" t="s">
        <v>80</v>
      </c>
      <c r="B46" s="32">
        <v>500</v>
      </c>
      <c r="C46" s="49" t="s">
        <v>3</v>
      </c>
    </row>
    <row r="47" spans="1:8">
      <c r="A47" s="8" t="s">
        <v>81</v>
      </c>
      <c r="B47" s="32">
        <v>30</v>
      </c>
      <c r="C47" s="49" t="s">
        <v>8</v>
      </c>
    </row>
    <row r="48" spans="1:8">
      <c r="A48" s="8" t="s">
        <v>114</v>
      </c>
      <c r="B48" s="32"/>
      <c r="E48" s="4">
        <f>PRODUCT(B46:B47)/1000</f>
        <v>15</v>
      </c>
      <c r="F48" s="3" t="s">
        <v>2</v>
      </c>
    </row>
    <row r="49" spans="1:8" s="6" customFormat="1">
      <c r="A49" s="5" t="s">
        <v>14</v>
      </c>
      <c r="B49" s="18"/>
      <c r="C49" s="51"/>
      <c r="E49" s="7"/>
      <c r="G49" s="7">
        <f>SUM(E45:E48)</f>
        <v>27</v>
      </c>
      <c r="H49" s="6" t="s">
        <v>2</v>
      </c>
    </row>
    <row r="50" spans="1:8">
      <c r="B50" s="32"/>
    </row>
    <row r="51" spans="1:8" s="6" customFormat="1">
      <c r="A51" s="5" t="s">
        <v>85</v>
      </c>
      <c r="B51" s="18"/>
      <c r="C51" s="51"/>
      <c r="E51" s="7"/>
      <c r="G51" s="7"/>
    </row>
    <row r="52" spans="1:8" ht="12.75" customHeight="1">
      <c r="A52" s="8" t="s">
        <v>16</v>
      </c>
      <c r="B52" s="32">
        <v>2</v>
      </c>
      <c r="C52" s="52" t="s">
        <v>2</v>
      </c>
      <c r="D52" s="15"/>
      <c r="E52" s="16">
        <f>B52</f>
        <v>2</v>
      </c>
      <c r="F52" s="15" t="s">
        <v>2</v>
      </c>
    </row>
    <row r="53" spans="1:8" ht="12.75" customHeight="1">
      <c r="A53" s="8" t="s">
        <v>15</v>
      </c>
      <c r="B53" s="32">
        <v>2</v>
      </c>
      <c r="C53" s="52" t="s">
        <v>2</v>
      </c>
      <c r="D53" s="15"/>
      <c r="E53" s="16">
        <f>B53</f>
        <v>2</v>
      </c>
      <c r="F53" s="15" t="s">
        <v>2</v>
      </c>
    </row>
    <row r="54" spans="1:8">
      <c r="A54" s="8" t="s">
        <v>17</v>
      </c>
      <c r="B54" s="32">
        <v>3</v>
      </c>
      <c r="C54" s="52" t="s">
        <v>2</v>
      </c>
      <c r="D54" s="15"/>
      <c r="E54" s="16">
        <f>B54</f>
        <v>3</v>
      </c>
      <c r="F54" s="15" t="s">
        <v>2</v>
      </c>
    </row>
    <row r="55" spans="1:8">
      <c r="A55" s="8" t="s">
        <v>86</v>
      </c>
      <c r="B55" s="32">
        <v>4</v>
      </c>
      <c r="C55" s="52" t="s">
        <v>2</v>
      </c>
      <c r="D55" s="15"/>
      <c r="E55" s="16">
        <f>B55</f>
        <v>4</v>
      </c>
      <c r="F55" s="15" t="s">
        <v>2</v>
      </c>
    </row>
    <row r="56" spans="1:8" s="26" customFormat="1" ht="12.75" customHeight="1">
      <c r="A56" s="5" t="s">
        <v>87</v>
      </c>
      <c r="B56" s="32"/>
      <c r="C56" s="53"/>
      <c r="E56" s="27"/>
      <c r="G56" s="7">
        <f>SUM(E52:E55)</f>
        <v>11</v>
      </c>
      <c r="H56" s="6" t="s">
        <v>2</v>
      </c>
    </row>
    <row r="57" spans="1:8" ht="12.75" customHeight="1">
      <c r="B57" s="32"/>
      <c r="C57" s="52"/>
      <c r="D57" s="15"/>
      <c r="E57" s="16"/>
      <c r="F57" s="15"/>
      <c r="G57" s="12"/>
      <c r="H57" s="11"/>
    </row>
    <row r="58" spans="1:8" s="26" customFormat="1">
      <c r="A58" s="5" t="s">
        <v>47</v>
      </c>
      <c r="B58" s="32"/>
      <c r="C58" s="53"/>
      <c r="E58" s="27"/>
      <c r="G58" s="27"/>
    </row>
    <row r="59" spans="1:8">
      <c r="A59" s="8" t="s">
        <v>18</v>
      </c>
      <c r="B59" s="32">
        <v>30</v>
      </c>
      <c r="C59" s="52" t="s">
        <v>2</v>
      </c>
      <c r="D59" s="15"/>
      <c r="E59" s="16"/>
      <c r="F59" s="15"/>
      <c r="G59" s="23">
        <f>B59</f>
        <v>30</v>
      </c>
      <c r="H59" s="11" t="s">
        <v>2</v>
      </c>
    </row>
    <row r="60" spans="1:8">
      <c r="A60" s="8" t="s">
        <v>46</v>
      </c>
      <c r="B60" s="46">
        <v>-10</v>
      </c>
      <c r="C60" s="49" t="s">
        <v>2</v>
      </c>
      <c r="G60" s="47">
        <f>B60</f>
        <v>-10</v>
      </c>
      <c r="H60" s="11" t="s">
        <v>2</v>
      </c>
    </row>
    <row r="61" spans="1:8">
      <c r="B61" s="32"/>
      <c r="G61" s="12"/>
      <c r="H61" s="11"/>
    </row>
    <row r="62" spans="1:8" s="19" customFormat="1">
      <c r="A62" s="17" t="s">
        <v>45</v>
      </c>
      <c r="B62" s="18"/>
      <c r="C62" s="54"/>
      <c r="E62" s="20"/>
      <c r="G62" s="20">
        <f>SUM(G4:G60)</f>
        <v>374.3</v>
      </c>
      <c r="H62" s="19" t="s">
        <v>2</v>
      </c>
    </row>
    <row r="63" spans="1:8" s="15" customFormat="1">
      <c r="A63" s="13"/>
      <c r="B63" s="14"/>
      <c r="C63" s="52"/>
      <c r="E63" s="16"/>
      <c r="G63" s="16"/>
    </row>
    <row r="64" spans="1:8" s="24" customFormat="1">
      <c r="A64" s="21" t="s">
        <v>65</v>
      </c>
      <c r="B64" s="74">
        <v>55</v>
      </c>
      <c r="C64" s="75" t="s">
        <v>38</v>
      </c>
      <c r="D64" s="22"/>
      <c r="E64" s="65"/>
      <c r="G64" s="23"/>
    </row>
    <row r="65" spans="1:9" s="24" customFormat="1">
      <c r="A65" s="21" t="s">
        <v>66</v>
      </c>
      <c r="B65" s="74">
        <v>7</v>
      </c>
      <c r="C65" s="75" t="s">
        <v>38</v>
      </c>
      <c r="D65" s="22"/>
      <c r="E65" s="65"/>
      <c r="G65" s="23"/>
    </row>
    <row r="66" spans="1:9" s="15" customFormat="1">
      <c r="A66" s="13"/>
      <c r="B66" s="14"/>
      <c r="C66" s="52"/>
      <c r="E66" s="16"/>
      <c r="G66" s="16"/>
    </row>
    <row r="67" spans="1:9" s="30" customFormat="1">
      <c r="A67" s="25" t="s">
        <v>34</v>
      </c>
      <c r="B67" s="29"/>
      <c r="C67" s="55"/>
      <c r="E67" s="31"/>
      <c r="G67" s="31"/>
    </row>
    <row r="68" spans="1:9" s="15" customFormat="1">
      <c r="A68" s="13"/>
      <c r="B68" s="44"/>
      <c r="C68" s="52"/>
      <c r="E68" s="16"/>
      <c r="G68" s="16"/>
    </row>
    <row r="69" spans="1:9" s="26" customFormat="1">
      <c r="A69" s="5" t="s">
        <v>32</v>
      </c>
      <c r="B69" s="44"/>
      <c r="C69" s="53"/>
      <c r="E69" s="27"/>
      <c r="G69" s="27"/>
    </row>
    <row r="70" spans="1:9">
      <c r="A70" s="8" t="s">
        <v>109</v>
      </c>
      <c r="B70" s="44">
        <v>1</v>
      </c>
      <c r="C70" s="49" t="s">
        <v>19</v>
      </c>
      <c r="E70" s="4">
        <f>(G62*B70/100)*40%</f>
        <v>1.4972000000000003</v>
      </c>
      <c r="F70" s="3" t="s">
        <v>2</v>
      </c>
      <c r="G70" s="4" t="s">
        <v>53</v>
      </c>
      <c r="H70" s="60">
        <f>G62*40%</f>
        <v>149.72</v>
      </c>
      <c r="I70" s="3" t="s">
        <v>88</v>
      </c>
    </row>
    <row r="71" spans="1:9" ht="14.25" customHeight="1">
      <c r="A71" s="8" t="s">
        <v>112</v>
      </c>
      <c r="B71" s="44">
        <v>2</v>
      </c>
      <c r="C71" s="49" t="s">
        <v>19</v>
      </c>
      <c r="E71" s="4">
        <f>(G62*B71/100)*40%</f>
        <v>2.9944000000000006</v>
      </c>
      <c r="F71" s="3" t="s">
        <v>2</v>
      </c>
      <c r="G71" s="4" t="s">
        <v>53</v>
      </c>
      <c r="H71" s="60">
        <f>G62*40%</f>
        <v>149.72</v>
      </c>
      <c r="I71" s="3" t="s">
        <v>88</v>
      </c>
    </row>
    <row r="72" spans="1:9">
      <c r="A72" s="8" t="s">
        <v>99</v>
      </c>
      <c r="B72" s="44">
        <v>5</v>
      </c>
      <c r="C72" s="49" t="s">
        <v>19</v>
      </c>
      <c r="E72" s="4">
        <f>(G62*B72/100)*10%</f>
        <v>1.8715000000000002</v>
      </c>
      <c r="F72" s="3" t="s">
        <v>2</v>
      </c>
      <c r="G72" s="4" t="s">
        <v>53</v>
      </c>
      <c r="H72" s="60">
        <f>G62*10%</f>
        <v>37.43</v>
      </c>
      <c r="I72" s="3" t="s">
        <v>88</v>
      </c>
    </row>
    <row r="73" spans="1:9">
      <c r="A73" s="8" t="s">
        <v>98</v>
      </c>
      <c r="B73" s="44">
        <v>8</v>
      </c>
      <c r="C73" s="49" t="s">
        <v>113</v>
      </c>
      <c r="E73" s="4">
        <f>(G62*B73/100)*10%</f>
        <v>2.9944000000000006</v>
      </c>
      <c r="F73" s="3" t="s">
        <v>2</v>
      </c>
      <c r="G73" s="4" t="s">
        <v>53</v>
      </c>
      <c r="H73" s="60">
        <f>G62*10%</f>
        <v>37.43</v>
      </c>
      <c r="I73" s="3" t="s">
        <v>88</v>
      </c>
    </row>
    <row r="74" spans="1:9">
      <c r="A74" s="8" t="s">
        <v>111</v>
      </c>
      <c r="B74" s="44"/>
      <c r="C74" s="66">
        <f>((40*B70)+(40*B71)+(10*B72)+(10*B73))/100</f>
        <v>2.5</v>
      </c>
      <c r="D74" s="3" t="s">
        <v>110</v>
      </c>
      <c r="E74" s="4">
        <f>SUM(E70:E73)</f>
        <v>9.3575000000000017</v>
      </c>
      <c r="F74" s="3" t="s">
        <v>2</v>
      </c>
      <c r="G74" s="4" t="s">
        <v>89</v>
      </c>
      <c r="H74" s="59">
        <f>SUM(H70:H73)</f>
        <v>374.3</v>
      </c>
      <c r="I74" s="3" t="s">
        <v>88</v>
      </c>
    </row>
    <row r="75" spans="1:9">
      <c r="B75" s="44"/>
      <c r="H75" s="9"/>
    </row>
    <row r="76" spans="1:9">
      <c r="A76" s="8" t="s">
        <v>95</v>
      </c>
      <c r="B76" s="69">
        <v>3.5</v>
      </c>
      <c r="C76" s="49" t="s">
        <v>19</v>
      </c>
      <c r="E76" s="4">
        <f>G62*B76/100</f>
        <v>13.1005</v>
      </c>
      <c r="F76" s="3" t="s">
        <v>2</v>
      </c>
      <c r="G76" s="4" t="s">
        <v>90</v>
      </c>
      <c r="H76" s="59">
        <f>G62</f>
        <v>374.3</v>
      </c>
      <c r="I76" s="3" t="s">
        <v>88</v>
      </c>
    </row>
    <row r="77" spans="1:9">
      <c r="B77" s="44"/>
      <c r="H77" s="60"/>
    </row>
    <row r="78" spans="1:9" s="26" customFormat="1">
      <c r="A78" s="5" t="s">
        <v>101</v>
      </c>
      <c r="B78" s="44"/>
      <c r="C78" s="53"/>
      <c r="E78" s="27"/>
      <c r="G78" s="7">
        <f>SUM(E74,E76)</f>
        <v>22.458000000000002</v>
      </c>
      <c r="H78" s="6" t="s">
        <v>2</v>
      </c>
    </row>
    <row r="79" spans="1:9">
      <c r="B79" s="44"/>
    </row>
    <row r="80" spans="1:9" s="26" customFormat="1">
      <c r="A80" s="5" t="s">
        <v>103</v>
      </c>
      <c r="B80" s="44"/>
      <c r="C80" s="53"/>
      <c r="E80" s="27"/>
      <c r="G80" s="27"/>
    </row>
    <row r="81" spans="1:7" s="15" customFormat="1">
      <c r="A81" s="13"/>
      <c r="B81" s="48"/>
      <c r="C81" s="52"/>
      <c r="E81" s="16"/>
      <c r="G81" s="16"/>
    </row>
    <row r="82" spans="1:7">
      <c r="A82" s="8" t="s">
        <v>21</v>
      </c>
      <c r="B82" s="44">
        <v>10</v>
      </c>
      <c r="C82" s="49" t="s">
        <v>22</v>
      </c>
    </row>
    <row r="83" spans="1:7">
      <c r="B83" s="44"/>
    </row>
    <row r="84" spans="1:7" ht="12.75" customHeight="1">
      <c r="A84" s="8" t="s">
        <v>73</v>
      </c>
      <c r="B84" s="44">
        <v>2</v>
      </c>
      <c r="C84" s="49" t="s">
        <v>20</v>
      </c>
    </row>
    <row r="85" spans="1:7">
      <c r="A85" s="8" t="s">
        <v>74</v>
      </c>
      <c r="B85" s="44"/>
      <c r="C85" s="64">
        <f>PRODUCT(B82:B84)</f>
        <v>20</v>
      </c>
      <c r="D85" s="28" t="s">
        <v>23</v>
      </c>
      <c r="E85" s="3"/>
    </row>
    <row r="86" spans="1:7">
      <c r="A86" s="8" t="s">
        <v>65</v>
      </c>
      <c r="B86" s="45"/>
      <c r="C86" s="70">
        <f>B64</f>
        <v>55</v>
      </c>
      <c r="D86" s="71" t="s">
        <v>37</v>
      </c>
      <c r="E86" s="72"/>
    </row>
    <row r="87" spans="1:7">
      <c r="A87" s="8" t="s">
        <v>68</v>
      </c>
      <c r="B87" s="45"/>
      <c r="C87" s="56"/>
      <c r="E87" s="4">
        <f>C85*C86/1000</f>
        <v>1.1000000000000001</v>
      </c>
      <c r="F87" s="3" t="s">
        <v>2</v>
      </c>
    </row>
    <row r="88" spans="1:7" ht="12.75" customHeight="1">
      <c r="A88" s="8" t="s">
        <v>75</v>
      </c>
      <c r="B88" s="44">
        <v>10</v>
      </c>
      <c r="C88" s="49" t="s">
        <v>20</v>
      </c>
    </row>
    <row r="89" spans="1:7">
      <c r="A89" s="8" t="s">
        <v>76</v>
      </c>
      <c r="B89" s="44"/>
      <c r="C89" s="64">
        <f>B82*B88</f>
        <v>100</v>
      </c>
      <c r="D89" s="28" t="s">
        <v>23</v>
      </c>
      <c r="E89" s="3"/>
    </row>
    <row r="90" spans="1:7">
      <c r="A90" s="8" t="s">
        <v>66</v>
      </c>
      <c r="B90" s="45"/>
      <c r="C90" s="70">
        <f>B65</f>
        <v>7</v>
      </c>
      <c r="D90" s="71" t="s">
        <v>37</v>
      </c>
      <c r="E90" s="72"/>
    </row>
    <row r="91" spans="1:7">
      <c r="A91" s="8" t="s">
        <v>69</v>
      </c>
      <c r="B91" s="45"/>
      <c r="C91" s="56"/>
      <c r="E91" s="4">
        <f>C89*C90/1000</f>
        <v>0.7</v>
      </c>
      <c r="F91" s="3" t="s">
        <v>2</v>
      </c>
    </row>
    <row r="92" spans="1:7">
      <c r="B92" s="45"/>
      <c r="C92" s="56"/>
    </row>
    <row r="93" spans="1:7" ht="25.5">
      <c r="A93" s="8" t="s">
        <v>107</v>
      </c>
      <c r="B93" s="45">
        <v>500</v>
      </c>
      <c r="C93" s="57" t="s">
        <v>8</v>
      </c>
      <c r="E93" s="4">
        <f>B93/1000</f>
        <v>0.5</v>
      </c>
      <c r="F93" s="3" t="s">
        <v>2</v>
      </c>
    </row>
    <row r="94" spans="1:7">
      <c r="B94" s="45"/>
      <c r="C94" s="56"/>
    </row>
    <row r="95" spans="1:7">
      <c r="A95" s="8" t="s">
        <v>115</v>
      </c>
      <c r="B95" s="45">
        <v>400</v>
      </c>
      <c r="C95" s="57" t="s">
        <v>8</v>
      </c>
      <c r="E95" s="4">
        <f>B95/1000</f>
        <v>0.4</v>
      </c>
      <c r="F95" s="3" t="s">
        <v>2</v>
      </c>
    </row>
    <row r="96" spans="1:7">
      <c r="A96" s="8" t="s">
        <v>105</v>
      </c>
      <c r="B96" s="45">
        <v>600</v>
      </c>
      <c r="C96" s="57" t="s">
        <v>8</v>
      </c>
      <c r="E96" s="4">
        <f>B96/1000</f>
        <v>0.6</v>
      </c>
      <c r="F96" s="3" t="s">
        <v>2</v>
      </c>
    </row>
    <row r="97" spans="1:8">
      <c r="B97" s="45"/>
      <c r="C97" s="56"/>
    </row>
    <row r="98" spans="1:8" s="26" customFormat="1">
      <c r="A98" s="5" t="s">
        <v>104</v>
      </c>
      <c r="B98" s="48"/>
      <c r="C98" s="53"/>
      <c r="E98" s="27"/>
      <c r="G98" s="7">
        <f>SUM(E87:E98)</f>
        <v>3.3</v>
      </c>
      <c r="H98" s="6" t="s">
        <v>2</v>
      </c>
    </row>
    <row r="99" spans="1:8">
      <c r="B99" s="44"/>
    </row>
    <row r="100" spans="1:8" s="26" customFormat="1" ht="28.5" customHeight="1">
      <c r="A100" s="5" t="s">
        <v>78</v>
      </c>
      <c r="B100" s="44"/>
      <c r="C100" s="53"/>
      <c r="E100" s="27"/>
      <c r="G100" s="27"/>
    </row>
    <row r="101" spans="1:8">
      <c r="A101" s="8" t="s">
        <v>29</v>
      </c>
      <c r="B101" s="44">
        <v>50</v>
      </c>
      <c r="C101" s="49" t="s">
        <v>28</v>
      </c>
    </row>
    <row r="102" spans="1:8">
      <c r="A102" s="8" t="s">
        <v>27</v>
      </c>
      <c r="B102" s="44">
        <v>10</v>
      </c>
      <c r="C102" s="49" t="s">
        <v>8</v>
      </c>
    </row>
    <row r="103" spans="1:8">
      <c r="A103" s="8" t="s">
        <v>49</v>
      </c>
      <c r="B103" s="44"/>
      <c r="E103" s="2">
        <f>PRODUCT(B101:B102)</f>
        <v>500</v>
      </c>
      <c r="F103" s="28" t="s">
        <v>8</v>
      </c>
    </row>
    <row r="104" spans="1:8">
      <c r="A104" s="8" t="s">
        <v>31</v>
      </c>
      <c r="B104" s="44">
        <v>200</v>
      </c>
      <c r="C104" s="49" t="s">
        <v>28</v>
      </c>
    </row>
    <row r="105" spans="1:8">
      <c r="A105" s="8" t="s">
        <v>30</v>
      </c>
      <c r="B105" s="44">
        <v>10</v>
      </c>
      <c r="C105" s="49" t="s">
        <v>8</v>
      </c>
    </row>
    <row r="106" spans="1:8">
      <c r="A106" s="8" t="s">
        <v>50</v>
      </c>
      <c r="B106" s="44"/>
      <c r="E106" s="2">
        <f>PRODUCT(B104:B105)</f>
        <v>2000</v>
      </c>
      <c r="F106" s="28" t="s">
        <v>8</v>
      </c>
    </row>
    <row r="107" spans="1:8">
      <c r="A107" s="8" t="s">
        <v>82</v>
      </c>
      <c r="B107" s="44">
        <v>80</v>
      </c>
      <c r="C107" s="49" t="s">
        <v>28</v>
      </c>
    </row>
    <row r="108" spans="1:8">
      <c r="A108" s="8" t="s">
        <v>83</v>
      </c>
      <c r="B108" s="44">
        <v>10</v>
      </c>
      <c r="C108" s="49" t="s">
        <v>8</v>
      </c>
    </row>
    <row r="109" spans="1:8">
      <c r="A109" s="8" t="s">
        <v>84</v>
      </c>
      <c r="B109" s="44"/>
      <c r="E109" s="2">
        <f>PRODUCT(B107:B108)</f>
        <v>800</v>
      </c>
      <c r="F109" s="28" t="s">
        <v>8</v>
      </c>
    </row>
    <row r="110" spans="1:8" s="6" customFormat="1" ht="38.25">
      <c r="A110" s="5" t="s">
        <v>77</v>
      </c>
      <c r="B110" s="29"/>
      <c r="C110" s="51"/>
      <c r="G110" s="7">
        <f>(E103+E106+E109)/1000</f>
        <v>3.3</v>
      </c>
      <c r="H110" s="6" t="s">
        <v>2</v>
      </c>
    </row>
    <row r="111" spans="1:8">
      <c r="B111" s="44"/>
    </row>
    <row r="112" spans="1:8" s="30" customFormat="1">
      <c r="A112" s="25" t="s">
        <v>35</v>
      </c>
      <c r="B112" s="29"/>
      <c r="C112" s="55"/>
      <c r="E112" s="31"/>
      <c r="G112" s="31">
        <f>SUM(G78:G98:G110)</f>
        <v>29.058000000000003</v>
      </c>
      <c r="H112" s="30" t="s">
        <v>2</v>
      </c>
    </row>
    <row r="114" spans="1:8" s="37" customFormat="1">
      <c r="A114" s="35" t="s">
        <v>36</v>
      </c>
      <c r="B114" s="36"/>
      <c r="C114" s="58"/>
      <c r="E114" s="38"/>
      <c r="G114" s="38"/>
    </row>
    <row r="115" spans="1:8">
      <c r="B115" s="43"/>
    </row>
    <row r="116" spans="1:8">
      <c r="A116" s="8" t="s">
        <v>64</v>
      </c>
      <c r="B116" s="36">
        <v>230</v>
      </c>
      <c r="C116" s="73" t="s">
        <v>23</v>
      </c>
    </row>
    <row r="117" spans="1:8">
      <c r="A117" s="8" t="s">
        <v>65</v>
      </c>
      <c r="B117" s="43"/>
      <c r="C117" s="70">
        <f>B64</f>
        <v>55</v>
      </c>
      <c r="D117" s="71" t="s">
        <v>37</v>
      </c>
      <c r="E117" s="72"/>
    </row>
    <row r="118" spans="1:8">
      <c r="A118" s="8" t="s">
        <v>117</v>
      </c>
      <c r="B118" s="43"/>
      <c r="C118" s="61">
        <f>B116*C117/1000</f>
        <v>12.65</v>
      </c>
      <c r="D118" s="3" t="s">
        <v>2</v>
      </c>
    </row>
    <row r="119" spans="1:8">
      <c r="A119" s="8" t="s">
        <v>67</v>
      </c>
      <c r="B119" s="36">
        <v>2300</v>
      </c>
      <c r="C119" s="73" t="s">
        <v>23</v>
      </c>
    </row>
    <row r="120" spans="1:8">
      <c r="A120" s="8" t="s">
        <v>66</v>
      </c>
      <c r="B120" s="43"/>
      <c r="C120" s="70">
        <f>B65</f>
        <v>7</v>
      </c>
      <c r="D120" s="71" t="s">
        <v>37</v>
      </c>
      <c r="E120" s="72"/>
    </row>
    <row r="121" spans="1:8">
      <c r="A121" s="8" t="s">
        <v>118</v>
      </c>
      <c r="B121" s="43"/>
      <c r="C121" s="61">
        <f>B119*C120/1000</f>
        <v>16.100000000000001</v>
      </c>
      <c r="D121" s="3" t="s">
        <v>2</v>
      </c>
    </row>
    <row r="122" spans="1:8">
      <c r="A122" s="8" t="s">
        <v>70</v>
      </c>
      <c r="B122" s="43"/>
      <c r="E122" s="4">
        <f>((B116*C117)+(B119*C120))/1000</f>
        <v>28.75</v>
      </c>
      <c r="F122" s="3" t="s">
        <v>2</v>
      </c>
    </row>
    <row r="123" spans="1:8">
      <c r="B123" s="43"/>
    </row>
    <row r="124" spans="1:8">
      <c r="A124" s="8" t="s">
        <v>97</v>
      </c>
      <c r="B124" s="43"/>
      <c r="E124" s="4">
        <f>G112-E122</f>
        <v>0.30800000000000338</v>
      </c>
      <c r="F124" s="3" t="s">
        <v>2</v>
      </c>
    </row>
    <row r="125" spans="1:8" s="37" customFormat="1">
      <c r="A125" s="35" t="s">
        <v>39</v>
      </c>
      <c r="B125" s="36"/>
      <c r="C125" s="58"/>
      <c r="E125" s="38"/>
      <c r="G125" s="38">
        <f>SUM(E122:E124)</f>
        <v>29.058000000000003</v>
      </c>
      <c r="H125" s="37" t="s">
        <v>2</v>
      </c>
    </row>
  </sheetData>
  <protectedRanges>
    <protectedRange sqref="A1" name="Range2"/>
    <protectedRange sqref="B1:B1048576" name="Range1"/>
  </protectedRanges>
  <hyperlinks>
    <hyperlink ref="A1" r:id="rId1"/>
  </hyperlinks>
  <pageMargins left="0.59055118110236227" right="0.19685039370078741" top="0.27559055118110237" bottom="0.27559055118110237" header="0.31496062992125984" footer="0.31496062992125984"/>
  <pageSetup paperSize="9" orientation="landscape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EJS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Árni B Helgason</dc:creator>
  <cp:lastModifiedBy>Árni B Helgason</cp:lastModifiedBy>
  <cp:lastPrinted>2015-08-01T19:46:26Z</cp:lastPrinted>
  <dcterms:created xsi:type="dcterms:W3CDTF">2014-01-19T14:17:35Z</dcterms:created>
  <dcterms:modified xsi:type="dcterms:W3CDTF">2015-08-29T22:03:58Z</dcterms:modified>
</cp:coreProperties>
</file>